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373996CC-CE99-45C8-AC72-C6A8869F4185}" xr6:coauthVersionLast="47" xr6:coauthVersionMax="47" xr10:uidLastSave="{00000000-0000-0000-0000-000000000000}"/>
  <bookViews>
    <workbookView xWindow="-120" yWindow="-120" windowWidth="29040" windowHeight="15720" xr2:uid="{2DC48B6D-7430-40F4-9C82-A5C4B07D67E0}"/>
  </bookViews>
  <sheets>
    <sheet name="Sheet1" sheetId="1" r:id="rId1"/>
  </sheets>
  <definedNames>
    <definedName name="_xlnm.Print_Area" localSheetId="0">Sheet1!$A$1:$G$99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20" i="1" l="1"/>
  <c r="E70" i="1"/>
  <c r="E40" i="1"/>
  <c r="E42" i="1" s="1"/>
  <c r="E44" i="1" s="1"/>
  <c r="E45" i="1"/>
  <c r="E82" i="1"/>
  <c r="E69" i="1"/>
  <c r="E76" i="1"/>
  <c r="E28" i="1"/>
  <c r="E27" i="1"/>
  <c r="E26" i="1"/>
  <c r="G113" i="1"/>
  <c r="E88" i="1"/>
  <c r="G103" i="1"/>
  <c r="A105" i="1" s="1"/>
  <c r="D11" i="1"/>
  <c r="E72" i="1" s="1"/>
  <c r="E67" i="1"/>
  <c r="F58" i="1"/>
  <c r="E35" i="1"/>
  <c r="E34" i="1"/>
  <c r="E19" i="1"/>
  <c r="E20" i="1"/>
  <c r="E21" i="1"/>
  <c r="E22" i="1"/>
  <c r="E23" i="1"/>
  <c r="D18" i="1"/>
  <c r="E18" i="1" s="1"/>
  <c r="F46" i="1" l="1"/>
  <c r="E75" i="1"/>
  <c r="E74" i="1"/>
  <c r="D79" i="1"/>
  <c r="E79" i="1" s="1"/>
  <c r="D80" i="1"/>
  <c r="E80" i="1" s="1"/>
  <c r="F25" i="1"/>
  <c r="A106" i="1"/>
  <c r="F32" i="1"/>
  <c r="E24" i="1"/>
  <c r="H32" i="1" s="1"/>
  <c r="E77" i="1" l="1"/>
  <c r="F82" i="1" s="1"/>
  <c r="F36" i="1"/>
  <c r="F59" i="1" s="1"/>
  <c r="F83" i="1" l="1"/>
  <c r="G114" i="1" s="1"/>
  <c r="B115" i="1" s="1"/>
  <c r="E115" i="1" s="1"/>
  <c r="G104" i="1" l="1"/>
  <c r="B105" i="1" s="1"/>
  <c r="E105" i="1" s="1"/>
  <c r="F90" i="1"/>
  <c r="B116" i="1"/>
  <c r="E116" i="1" s="1"/>
  <c r="B106" i="1" l="1"/>
  <c r="E106" i="1" s="1"/>
  <c r="B117" i="1"/>
  <c r="B118" i="1" s="1"/>
  <c r="B107" i="1"/>
  <c r="E107" i="1" s="1"/>
  <c r="E117" i="1" l="1"/>
  <c r="E118" i="1"/>
  <c r="B119" i="1"/>
  <c r="B108" i="1"/>
  <c r="E108" i="1" s="1"/>
  <c r="E109" i="1" s="1"/>
  <c r="E120" i="1" l="1"/>
  <c r="E119" i="1"/>
  <c r="E121" i="1" l="1"/>
  <c r="F87" i="1" s="1"/>
  <c r="F88" i="1" s="1"/>
  <c r="F89" i="1" l="1"/>
  <c r="F91" i="1" s="1"/>
  <c r="F92" i="1" s="1"/>
  <c r="F93" i="1" s="1"/>
  <c r="F95" i="1" l="1"/>
  <c r="F96" i="1" s="1"/>
  <c r="C95" i="1"/>
</calcChain>
</file>

<file path=xl/sharedStrings.xml><?xml version="1.0" encoding="utf-8"?>
<sst xmlns="http://schemas.openxmlformats.org/spreadsheetml/2006/main" count="112" uniqueCount="103">
  <si>
    <t>Income Tax Calculator - FY 2024-25</t>
  </si>
  <si>
    <t>Name of the Assessee</t>
  </si>
  <si>
    <t>PAN</t>
  </si>
  <si>
    <t>DOB</t>
  </si>
  <si>
    <t>Age</t>
  </si>
  <si>
    <t>Income from Salary</t>
  </si>
  <si>
    <t>Total Salary under the provisions of Section 17(1)</t>
  </si>
  <si>
    <t>Breakup</t>
  </si>
  <si>
    <t>Tax Regime</t>
  </si>
  <si>
    <t>Basic</t>
  </si>
  <si>
    <t>DA</t>
  </si>
  <si>
    <t>HRA</t>
  </si>
  <si>
    <t>Reimbursements</t>
  </si>
  <si>
    <t>Other Allowance 1</t>
  </si>
  <si>
    <t>%</t>
  </si>
  <si>
    <t>Amount</t>
  </si>
  <si>
    <t>Less: Allowances u/s 10</t>
  </si>
  <si>
    <t>HRA u/s 10(13A)</t>
  </si>
  <si>
    <t>LTA u/s 10(5)</t>
  </si>
  <si>
    <t>Gratuity u/s 10(10)</t>
  </si>
  <si>
    <t>Allowable</t>
  </si>
  <si>
    <t>Claimed</t>
  </si>
  <si>
    <t>Other Deduction 1</t>
  </si>
  <si>
    <t>Other Deduction 2</t>
  </si>
  <si>
    <t>Less: Deduction u/s 16</t>
  </si>
  <si>
    <t xml:space="preserve">Standard Deduction </t>
  </si>
  <si>
    <t>NET TAXABLE SALARY</t>
  </si>
  <si>
    <t>Income from House Property</t>
  </si>
  <si>
    <t>Rental Income</t>
  </si>
  <si>
    <t>Less: Municipal Tax</t>
  </si>
  <si>
    <t>Net Annual Value</t>
  </si>
  <si>
    <t>Less: Deduction u/s 24</t>
  </si>
  <si>
    <t>Standard Deduction</t>
  </si>
  <si>
    <t>Interest on Housing Loan</t>
  </si>
  <si>
    <t>Income from Other Sources</t>
  </si>
  <si>
    <t>Interest Income on SB A/c</t>
  </si>
  <si>
    <t>Interest Income on FD or RD A/c</t>
  </si>
  <si>
    <t>Dividend</t>
  </si>
  <si>
    <t>NET IFHP</t>
  </si>
  <si>
    <t>NET IFOS</t>
  </si>
  <si>
    <t>Others 1</t>
  </si>
  <si>
    <t>Others 2</t>
  </si>
  <si>
    <t>Gross Total Income</t>
  </si>
  <si>
    <t>Deductions under Chapter VI A</t>
  </si>
  <si>
    <t>80 C</t>
  </si>
  <si>
    <t>ELSS</t>
  </si>
  <si>
    <t>Housing Loan Principal</t>
  </si>
  <si>
    <t>Life Insurance (LIC)</t>
  </si>
  <si>
    <t>Other Investment</t>
  </si>
  <si>
    <t>Self/Spouse/Children</t>
  </si>
  <si>
    <t>Parents (Senior Citizens)</t>
  </si>
  <si>
    <t>Self/Spouse (Senior Citizen)</t>
  </si>
  <si>
    <t>Total deduction u/s 80D</t>
  </si>
  <si>
    <t>80 D</t>
  </si>
  <si>
    <t>80 TTA</t>
  </si>
  <si>
    <t>80 TTB</t>
  </si>
  <si>
    <t>Any Other Deduction</t>
  </si>
  <si>
    <t>Net Taxable Income</t>
  </si>
  <si>
    <t>Computation of Tax Liability</t>
  </si>
  <si>
    <t>Tax on Total Income</t>
  </si>
  <si>
    <t>Add: Surcharge</t>
  </si>
  <si>
    <t>Total Tax Liability</t>
  </si>
  <si>
    <t>Add: Education Cess @ 4%</t>
  </si>
  <si>
    <t>Less: TDS Deducted</t>
  </si>
  <si>
    <t>Calculation of Tax</t>
  </si>
  <si>
    <t>Old Regime</t>
  </si>
  <si>
    <t>Year Ending</t>
  </si>
  <si>
    <t>Total Income</t>
  </si>
  <si>
    <t>5L-10L</t>
  </si>
  <si>
    <t>10L+</t>
  </si>
  <si>
    <t>This Utility is developed by TaxRoutine.com</t>
  </si>
  <si>
    <t>This utility can be used by persons having income under the following heads</t>
  </si>
  <si>
    <t>i. Salary</t>
  </si>
  <si>
    <t>iii. Other Sources</t>
  </si>
  <si>
    <t>This utility is not suitable for persons with Total Income over Rs. 1 Crore</t>
  </si>
  <si>
    <t>Persons having income from Business/income over Rs. 1 Crore can download our premium</t>
  </si>
  <si>
    <t>version of the utility by clicking the following link</t>
  </si>
  <si>
    <t>The utility costs a mere Rs. 300/- and would be a great boost for our morale.</t>
  </si>
  <si>
    <t xml:space="preserve">Less: Rebate u/s 87A </t>
  </si>
  <si>
    <t>(total income &lt;</t>
  </si>
  <si>
    <t>New Regime</t>
  </si>
  <si>
    <t>0L-3L</t>
  </si>
  <si>
    <t>3L-7L</t>
  </si>
  <si>
    <t>7L-10L</t>
  </si>
  <si>
    <t>10L-12L</t>
  </si>
  <si>
    <t>12L-15L</t>
  </si>
  <si>
    <t>15L+</t>
  </si>
  <si>
    <t>This utility is best viewed in 1920 x 1080 resolution</t>
  </si>
  <si>
    <t>Professional Tax</t>
  </si>
  <si>
    <t>Please fill in Cells marked in Blue</t>
  </si>
  <si>
    <t>All Other cells are locked by default</t>
  </si>
  <si>
    <t>rounded off to</t>
  </si>
  <si>
    <t>This utility is not suitable for persons with Incomes chargeable to tax at Special Rates</t>
  </si>
  <si>
    <t>ii. House Property (only 1 property)</t>
  </si>
  <si>
    <t xml:space="preserve">Advanced features like Advance Tax payments, Interest u/s 234A, 234B, 234C is available in </t>
  </si>
  <si>
    <t>our premium version of the utility</t>
  </si>
  <si>
    <t>Whether the assessee is a senior citizen?</t>
  </si>
  <si>
    <t>(calculated through DOB)</t>
  </si>
  <si>
    <t>Type of Property</t>
  </si>
  <si>
    <t>Self Occupied</t>
  </si>
  <si>
    <t>80 CCD(2)</t>
  </si>
  <si>
    <t>80 CCD (1B)</t>
  </si>
  <si>
    <t>Default Regime (New Tax Regime)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</si>
</sst>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[$-F800]dddd\,\ mmmm\ dd\,\ yyyy"/>
    <numFmt numFmtId="165" formatCode="_ * #,##0_ ;_ * \-#,##0_ ;_ * &quot;-&quot;??_ ;_ @_ 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sz val="11"/>
      <color theme="1"/>
      <name val="Copperplate Gothic Light"/>
      <family val="2"/>
    </font>
    <font>
      <i/>
      <sz val="11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2">
    <xf numFmtId="0" fontId="0" fillId="0" borderId="0" xfId="0"/>
    <xf numFmtId="0" fontId="0" fillId="4" borderId="10" xfId="0" applyFill="1" applyBorder="1"/>
    <xf numFmtId="0" fontId="0" fillId="4" borderId="11" xfId="0" applyFill="1" applyBorder="1"/>
    <xf numFmtId="0" fontId="0" fillId="4" borderId="12" xfId="0" applyFill="1" applyBorder="1"/>
    <xf numFmtId="0" fontId="2" fillId="0" borderId="0" xfId="0" applyFont="1"/>
    <xf numFmtId="0" fontId="2" fillId="5" borderId="2" xfId="0" applyFont="1" applyFill="1" applyBorder="1"/>
    <xf numFmtId="0" fontId="0" fillId="5" borderId="3" xfId="0" applyFill="1" applyBorder="1"/>
    <xf numFmtId="0" fontId="0" fillId="5" borderId="5" xfId="0" applyFill="1" applyBorder="1"/>
    <xf numFmtId="0" fontId="0" fillId="5" borderId="0" xfId="0" applyFill="1"/>
    <xf numFmtId="0" fontId="0" fillId="5" borderId="7" xfId="0" applyFill="1" applyBorder="1"/>
    <xf numFmtId="0" fontId="0" fillId="5" borderId="8" xfId="0" applyFill="1" applyBorder="1"/>
    <xf numFmtId="9" fontId="0" fillId="5" borderId="1" xfId="2" applyFont="1" applyFill="1" applyBorder="1"/>
    <xf numFmtId="43" fontId="0" fillId="5" borderId="3" xfId="1" applyFont="1" applyFill="1" applyBorder="1"/>
    <xf numFmtId="43" fontId="0" fillId="5" borderId="13" xfId="1" applyFont="1" applyFill="1" applyBorder="1"/>
    <xf numFmtId="43" fontId="0" fillId="5" borderId="0" xfId="1" applyFont="1" applyFill="1" applyBorder="1"/>
    <xf numFmtId="43" fontId="0" fillId="5" borderId="14" xfId="1" applyFont="1" applyFill="1" applyBorder="1"/>
    <xf numFmtId="43" fontId="0" fillId="5" borderId="8" xfId="1" applyFont="1" applyFill="1" applyBorder="1"/>
    <xf numFmtId="43" fontId="0" fillId="5" borderId="15" xfId="1" applyFont="1" applyFill="1" applyBorder="1"/>
    <xf numFmtId="43" fontId="0" fillId="0" borderId="0" xfId="0" applyNumberFormat="1"/>
    <xf numFmtId="0" fontId="3" fillId="5" borderId="5" xfId="0" applyFont="1" applyFill="1" applyBorder="1"/>
    <xf numFmtId="0" fontId="2" fillId="5" borderId="5" xfId="0" applyFont="1" applyFill="1" applyBorder="1"/>
    <xf numFmtId="0" fontId="3" fillId="5" borderId="1" xfId="0" applyFont="1" applyFill="1" applyBorder="1"/>
    <xf numFmtId="0" fontId="2" fillId="5" borderId="0" xfId="0" applyFont="1" applyFill="1"/>
    <xf numFmtId="43" fontId="0" fillId="3" borderId="14" xfId="1" applyFont="1" applyFill="1" applyBorder="1"/>
    <xf numFmtId="43" fontId="3" fillId="5" borderId="10" xfId="1" applyFont="1" applyFill="1" applyBorder="1"/>
    <xf numFmtId="43" fontId="0" fillId="5" borderId="10" xfId="1" applyFont="1" applyFill="1" applyBorder="1"/>
    <xf numFmtId="43" fontId="0" fillId="5" borderId="5" xfId="1" applyFont="1" applyFill="1" applyBorder="1"/>
    <xf numFmtId="43" fontId="2" fillId="3" borderId="16" xfId="1" applyFont="1" applyFill="1" applyBorder="1"/>
    <xf numFmtId="0" fontId="0" fillId="3" borderId="0" xfId="0" applyFill="1"/>
    <xf numFmtId="0" fontId="0" fillId="5" borderId="0" xfId="0" applyFill="1" applyAlignment="1">
      <alignment horizontal="right"/>
    </xf>
    <xf numFmtId="43" fontId="0" fillId="3" borderId="15" xfId="1" applyFont="1" applyFill="1" applyBorder="1"/>
    <xf numFmtId="0" fontId="2" fillId="3" borderId="0" xfId="0" applyFont="1" applyFill="1"/>
    <xf numFmtId="165" fontId="0" fillId="3" borderId="0" xfId="0" applyNumberFormat="1" applyFill="1"/>
    <xf numFmtId="165" fontId="0" fillId="3" borderId="0" xfId="1" applyNumberFormat="1" applyFont="1" applyFill="1"/>
    <xf numFmtId="9" fontId="0" fillId="3" borderId="0" xfId="0" applyNumberFormat="1" applyFill="1"/>
    <xf numFmtId="43" fontId="0" fillId="3" borderId="0" xfId="1" applyFont="1" applyFill="1"/>
    <xf numFmtId="43" fontId="0" fillId="3" borderId="17" xfId="1" applyFont="1" applyFill="1" applyBorder="1"/>
    <xf numFmtId="43" fontId="0" fillId="3" borderId="0" xfId="0" applyNumberFormat="1" applyFill="1"/>
    <xf numFmtId="0" fontId="0" fillId="2" borderId="1" xfId="0" applyFill="1" applyBorder="1" applyProtection="1">
      <protection locked="0"/>
    </xf>
    <xf numFmtId="43" fontId="0" fillId="2" borderId="14" xfId="1" applyFont="1" applyFill="1" applyBorder="1" applyProtection="1">
      <protection locked="0"/>
    </xf>
    <xf numFmtId="9" fontId="0" fillId="2" borderId="1" xfId="2" applyFont="1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0" xfId="0" applyFill="1" applyProtection="1">
      <protection locked="0"/>
    </xf>
    <xf numFmtId="43" fontId="0" fillId="2" borderId="5" xfId="1" applyFont="1" applyFill="1" applyBorder="1" applyProtection="1">
      <protection locked="0"/>
    </xf>
    <xf numFmtId="43" fontId="0" fillId="2" borderId="0" xfId="1" applyFont="1" applyFill="1" applyBorder="1" applyProtection="1">
      <protection locked="0"/>
    </xf>
    <xf numFmtId="43" fontId="0" fillId="2" borderId="1" xfId="1" applyFont="1" applyFill="1" applyBorder="1" applyProtection="1">
      <protection locked="0"/>
    </xf>
    <xf numFmtId="0" fontId="0" fillId="2" borderId="0" xfId="0" applyFill="1"/>
    <xf numFmtId="43" fontId="0" fillId="3" borderId="13" xfId="1" applyFont="1" applyFill="1" applyBorder="1"/>
    <xf numFmtId="43" fontId="2" fillId="5" borderId="0" xfId="1" applyFont="1" applyFill="1" applyBorder="1"/>
    <xf numFmtId="43" fontId="2" fillId="5" borderId="16" xfId="1" applyFont="1" applyFill="1" applyBorder="1"/>
    <xf numFmtId="43" fontId="0" fillId="5" borderId="1" xfId="1" applyFont="1" applyFill="1" applyBorder="1" applyProtection="1"/>
    <xf numFmtId="0" fontId="5" fillId="5" borderId="0" xfId="0" applyFont="1" applyFill="1"/>
    <xf numFmtId="43" fontId="0" fillId="5" borderId="0" xfId="1" applyFont="1" applyFill="1" applyBorder="1" applyProtection="1"/>
    <xf numFmtId="43" fontId="0" fillId="2" borderId="9" xfId="1" applyFon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>
      <alignment horizontal="left"/>
    </xf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0" xfId="0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2" fillId="4" borderId="7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0" fillId="2" borderId="1" xfId="0" applyFill="1" applyBorder="1" applyAlignment="1" applyProtection="1">
      <alignment horizontal="left"/>
      <protection locked="0"/>
    </xf>
    <xf numFmtId="0" fontId="4" fillId="2" borderId="1" xfId="0" applyFont="1" applyFill="1" applyBorder="1" applyAlignment="1" applyProtection="1">
      <alignment horizontal="left"/>
      <protection locked="0"/>
    </xf>
    <xf numFmtId="14" fontId="0" fillId="2" borderId="1" xfId="0" applyNumberFormat="1" applyFill="1" applyBorder="1" applyAlignment="1" applyProtection="1">
      <alignment horizontal="left"/>
      <protection locked="0"/>
    </xf>
    <xf numFmtId="164" fontId="0" fillId="2" borderId="1" xfId="0" applyNumberFormat="1" applyFill="1" applyBorder="1" applyAlignment="1" applyProtection="1">
      <alignment horizontal="left"/>
      <protection locked="0"/>
    </xf>
    <xf numFmtId="0" fontId="0" fillId="2" borderId="5" xfId="0" applyFill="1" applyBorder="1" applyProtection="1">
      <protection locked="0"/>
    </xf>
    <xf numFmtId="0" fontId="0" fillId="2" borderId="0" xfId="0" applyFill="1" applyProtection="1">
      <protection locked="0"/>
    </xf>
    <xf numFmtId="0" fontId="0" fillId="2" borderId="6" xfId="0" applyFill="1" applyBorder="1" applyProtection="1">
      <protection locked="0"/>
    </xf>
    <xf numFmtId="0" fontId="3" fillId="5" borderId="1" xfId="0" applyFont="1" applyFill="1" applyBorder="1"/>
    <xf numFmtId="0" fontId="0" fillId="5" borderId="1" xfId="0" applyFill="1" applyBorder="1"/>
    <xf numFmtId="0" fontId="0" fillId="3" borderId="0" xfId="0" applyFill="1" applyAlignment="1">
      <alignment horizontal="center"/>
    </xf>
    <xf numFmtId="0" fontId="0" fillId="5" borderId="5" xfId="0" applyFill="1" applyBorder="1"/>
    <xf numFmtId="0" fontId="0" fillId="5" borderId="0" xfId="0" applyFill="1"/>
    <xf numFmtId="0" fontId="0" fillId="5" borderId="6" xfId="0" applyFill="1" applyBorder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142875</xdr:colOff>
      <xdr:row>0</xdr:row>
      <xdr:rowOff>0</xdr:rowOff>
    </xdr:from>
    <xdr:to>
      <xdr:col>5</xdr:col>
      <xdr:colOff>853059</xdr:colOff>
      <xdr:row>5</xdr:row>
      <xdr:rowOff>144780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70E1895-7789-E87E-13FE-6DCE056482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0"/>
          <a:ext cx="4291584" cy="10972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7A3F83-BDF3-40AC-8E06-F04E76B2AD5B}">
  <dimension ref="A1:P123"/>
  <sheetViews>
    <sheetView tabSelected="1" zoomScaleNormal="100" workbookViewId="0">
      <selection activeCell="D8" sqref="D8:F8"/>
    </sheetView>
  </sheetViews>
  <sheetFormatPr defaultRowHeight="15" x14ac:dyDescent="0.25"/>
  <cols>
    <col min="2" max="2" width="9.140625" customWidth="1"/>
    <col min="4" max="4" width="11.5703125" bestFit="1" customWidth="1"/>
    <col min="5" max="6" width="14.7109375" customWidth="1"/>
    <col min="7" max="7" width="11.5703125" bestFit="1" customWidth="1"/>
  </cols>
  <sheetData>
    <row r="1" spans="1:13" x14ac:dyDescent="0.25">
      <c r="A1" s="57"/>
      <c r="B1" s="58"/>
      <c r="C1" s="58"/>
      <c r="D1" s="58"/>
      <c r="E1" s="58"/>
      <c r="F1" s="59"/>
    </row>
    <row r="2" spans="1:13" x14ac:dyDescent="0.25">
      <c r="A2" s="60"/>
      <c r="B2" s="61"/>
      <c r="C2" s="61"/>
      <c r="D2" s="61"/>
      <c r="E2" s="61"/>
      <c r="F2" s="62"/>
    </row>
    <row r="3" spans="1:13" x14ac:dyDescent="0.25">
      <c r="A3" s="60"/>
      <c r="B3" s="61"/>
      <c r="C3" s="61"/>
      <c r="D3" s="61"/>
      <c r="E3" s="61"/>
      <c r="F3" s="62"/>
      <c r="I3" t="s">
        <v>70</v>
      </c>
    </row>
    <row r="4" spans="1:13" x14ac:dyDescent="0.25">
      <c r="A4" s="60"/>
      <c r="B4" s="61"/>
      <c r="C4" s="61"/>
      <c r="D4" s="61"/>
      <c r="E4" s="61"/>
      <c r="F4" s="62"/>
    </row>
    <row r="5" spans="1:13" x14ac:dyDescent="0.25">
      <c r="A5" s="60"/>
      <c r="B5" s="61"/>
      <c r="C5" s="61"/>
      <c r="D5" s="61"/>
      <c r="E5" s="61"/>
      <c r="F5" s="62"/>
      <c r="I5" t="s">
        <v>89</v>
      </c>
      <c r="M5" s="46"/>
    </row>
    <row r="6" spans="1:13" x14ac:dyDescent="0.25">
      <c r="A6" s="63"/>
      <c r="B6" s="64"/>
      <c r="C6" s="64"/>
      <c r="D6" s="64"/>
      <c r="E6" s="64"/>
      <c r="F6" s="65"/>
      <c r="I6" t="s">
        <v>90</v>
      </c>
    </row>
    <row r="7" spans="1:13" x14ac:dyDescent="0.25">
      <c r="A7" s="66" t="s">
        <v>0</v>
      </c>
      <c r="B7" s="67"/>
      <c r="C7" s="67"/>
      <c r="D7" s="67"/>
      <c r="E7" s="67"/>
      <c r="F7" s="68"/>
    </row>
    <row r="8" spans="1:13" x14ac:dyDescent="0.25">
      <c r="A8" s="54" t="s">
        <v>1</v>
      </c>
      <c r="B8" s="54"/>
      <c r="C8" s="54"/>
      <c r="D8" s="69"/>
      <c r="E8" s="69"/>
      <c r="F8" s="69"/>
      <c r="I8" t="s">
        <v>71</v>
      </c>
    </row>
    <row r="9" spans="1:13" x14ac:dyDescent="0.25">
      <c r="A9" s="54" t="s">
        <v>2</v>
      </c>
      <c r="B9" s="54"/>
      <c r="C9" s="54"/>
      <c r="D9" s="70"/>
      <c r="E9" s="70"/>
      <c r="F9" s="70"/>
    </row>
    <row r="10" spans="1:13" x14ac:dyDescent="0.25">
      <c r="A10" s="54" t="s">
        <v>3</v>
      </c>
      <c r="B10" s="54"/>
      <c r="C10" s="54"/>
      <c r="D10" s="71">
        <v>32874</v>
      </c>
      <c r="E10" s="69"/>
      <c r="F10" s="69"/>
      <c r="J10" t="s">
        <v>72</v>
      </c>
    </row>
    <row r="11" spans="1:13" x14ac:dyDescent="0.25">
      <c r="A11" s="54" t="s">
        <v>4</v>
      </c>
      <c r="B11" s="54"/>
      <c r="C11" s="54"/>
      <c r="D11" s="55">
        <f>DATEDIF(D10,D12,"y")</f>
        <v>35</v>
      </c>
      <c r="E11" s="55"/>
      <c r="F11" s="55"/>
      <c r="J11" t="s">
        <v>93</v>
      </c>
    </row>
    <row r="12" spans="1:13" x14ac:dyDescent="0.25">
      <c r="A12" s="54" t="s">
        <v>66</v>
      </c>
      <c r="B12" s="54"/>
      <c r="C12" s="54"/>
      <c r="D12" s="72">
        <v>45747</v>
      </c>
      <c r="E12" s="72"/>
      <c r="F12" s="72"/>
      <c r="J12" t="s">
        <v>73</v>
      </c>
    </row>
    <row r="13" spans="1:13" x14ac:dyDescent="0.25">
      <c r="A13" s="54" t="s">
        <v>8</v>
      </c>
      <c r="B13" s="54"/>
      <c r="C13" s="54"/>
      <c r="D13" s="56" t="s">
        <v>102</v>
      </c>
      <c r="E13" s="56"/>
      <c r="F13" s="56"/>
    </row>
    <row r="14" spans="1:13" x14ac:dyDescent="0.25">
      <c r="A14" s="1"/>
      <c r="B14" s="2"/>
      <c r="C14" s="2"/>
      <c r="D14" s="2"/>
      <c r="E14" s="2"/>
      <c r="F14" s="3"/>
      <c r="I14" t="s">
        <v>74</v>
      </c>
    </row>
    <row r="15" spans="1:13" x14ac:dyDescent="0.25">
      <c r="A15" s="5" t="s">
        <v>5</v>
      </c>
      <c r="B15" s="6"/>
      <c r="C15" s="6"/>
      <c r="D15" s="6"/>
      <c r="E15" s="12"/>
      <c r="F15" s="13"/>
    </row>
    <row r="16" spans="1:13" x14ac:dyDescent="0.25">
      <c r="A16" s="7" t="s">
        <v>6</v>
      </c>
      <c r="B16" s="8"/>
      <c r="C16" s="8"/>
      <c r="D16" s="8"/>
      <c r="E16" s="14"/>
      <c r="F16" s="39">
        <v>1190000</v>
      </c>
      <c r="I16" t="s">
        <v>92</v>
      </c>
    </row>
    <row r="17" spans="1:16" x14ac:dyDescent="0.25">
      <c r="A17" s="76" t="s">
        <v>7</v>
      </c>
      <c r="B17" s="76"/>
      <c r="C17" s="76"/>
      <c r="D17" s="21" t="s">
        <v>14</v>
      </c>
      <c r="E17" s="24" t="s">
        <v>15</v>
      </c>
      <c r="F17" s="15"/>
    </row>
    <row r="18" spans="1:16" x14ac:dyDescent="0.25">
      <c r="A18" s="77" t="s">
        <v>9</v>
      </c>
      <c r="B18" s="77"/>
      <c r="C18" s="77"/>
      <c r="D18" s="11">
        <f>1-SUM(D19:D23)</f>
        <v>0.5</v>
      </c>
      <c r="E18" s="25">
        <f>ROUND($F$16*D18,0)</f>
        <v>595000</v>
      </c>
      <c r="F18" s="15"/>
      <c r="I18" t="s">
        <v>94</v>
      </c>
    </row>
    <row r="19" spans="1:16" x14ac:dyDescent="0.25">
      <c r="A19" s="77" t="s">
        <v>10</v>
      </c>
      <c r="B19" s="77"/>
      <c r="C19" s="77"/>
      <c r="D19" s="40">
        <v>0.3</v>
      </c>
      <c r="E19" s="25">
        <f t="shared" ref="E19:E23" si="0">ROUND($F$16*D19,0)</f>
        <v>357000</v>
      </c>
      <c r="F19" s="15"/>
      <c r="I19" t="s">
        <v>95</v>
      </c>
    </row>
    <row r="20" spans="1:16" x14ac:dyDescent="0.25">
      <c r="A20" s="77" t="s">
        <v>11</v>
      </c>
      <c r="B20" s="77"/>
      <c r="C20" s="77"/>
      <c r="D20" s="40">
        <v>0.15</v>
      </c>
      <c r="E20" s="25">
        <f t="shared" si="0"/>
        <v>178500</v>
      </c>
      <c r="F20" s="15"/>
    </row>
    <row r="21" spans="1:16" x14ac:dyDescent="0.25">
      <c r="A21" s="77" t="s">
        <v>12</v>
      </c>
      <c r="B21" s="77"/>
      <c r="C21" s="77"/>
      <c r="D21" s="40">
        <v>0.05</v>
      </c>
      <c r="E21" s="25">
        <f t="shared" si="0"/>
        <v>59500</v>
      </c>
      <c r="F21" s="15"/>
      <c r="I21" t="s">
        <v>75</v>
      </c>
    </row>
    <row r="22" spans="1:16" x14ac:dyDescent="0.25">
      <c r="A22" s="56" t="s">
        <v>13</v>
      </c>
      <c r="B22" s="56"/>
      <c r="C22" s="56"/>
      <c r="D22" s="40"/>
      <c r="E22" s="25">
        <f t="shared" si="0"/>
        <v>0</v>
      </c>
      <c r="F22" s="15"/>
      <c r="I22" t="s">
        <v>76</v>
      </c>
    </row>
    <row r="23" spans="1:16" x14ac:dyDescent="0.25">
      <c r="A23" s="56" t="s">
        <v>13</v>
      </c>
      <c r="B23" s="56"/>
      <c r="C23" s="56"/>
      <c r="D23" s="40"/>
      <c r="E23" s="25">
        <f t="shared" si="0"/>
        <v>0</v>
      </c>
      <c r="F23" s="15"/>
    </row>
    <row r="24" spans="1:16" x14ac:dyDescent="0.25">
      <c r="A24" s="7"/>
      <c r="B24" s="8"/>
      <c r="C24" s="8"/>
      <c r="D24" s="8"/>
      <c r="E24" s="12">
        <f>SUM(E18:E23)</f>
        <v>1190000</v>
      </c>
      <c r="F24" s="15"/>
      <c r="J24" s="78"/>
      <c r="K24" s="78"/>
      <c r="L24" s="78"/>
      <c r="M24" s="78"/>
      <c r="N24" s="78"/>
      <c r="O24" s="78"/>
      <c r="P24" s="78"/>
    </row>
    <row r="25" spans="1:16" x14ac:dyDescent="0.25">
      <c r="A25" s="19" t="s">
        <v>16</v>
      </c>
      <c r="B25" s="8"/>
      <c r="C25" s="8"/>
      <c r="D25" s="8" t="s">
        <v>21</v>
      </c>
      <c r="E25" s="14" t="s">
        <v>20</v>
      </c>
      <c r="F25" s="23">
        <f>SUM(E26:E30)</f>
        <v>0</v>
      </c>
    </row>
    <row r="26" spans="1:16" x14ac:dyDescent="0.25">
      <c r="A26" s="79" t="s">
        <v>17</v>
      </c>
      <c r="B26" s="80"/>
      <c r="C26" s="81"/>
      <c r="D26" s="38">
        <v>15000</v>
      </c>
      <c r="E26" s="26">
        <f>IF(ISBLANK($D$13),0,IF($D$13="Old Tax Regime",D26,0))</f>
        <v>0</v>
      </c>
      <c r="F26" s="15"/>
      <c r="I26" t="s">
        <v>77</v>
      </c>
    </row>
    <row r="27" spans="1:16" x14ac:dyDescent="0.25">
      <c r="A27" s="79" t="s">
        <v>18</v>
      </c>
      <c r="B27" s="80"/>
      <c r="C27" s="81"/>
      <c r="D27" s="38">
        <v>20000</v>
      </c>
      <c r="E27" s="26">
        <f>IF(ISBLANK($D$13),0,IF($D$13="Old Tax Regime",D27,0))</f>
        <v>0</v>
      </c>
      <c r="F27" s="15"/>
    </row>
    <row r="28" spans="1:16" x14ac:dyDescent="0.25">
      <c r="A28" s="79" t="s">
        <v>19</v>
      </c>
      <c r="B28" s="80"/>
      <c r="C28" s="81"/>
      <c r="D28" s="38">
        <v>20000</v>
      </c>
      <c r="E28" s="26">
        <f>IF(ISBLANK($D$13),0,IF($D$13="Old Tax Regime",D28,0))</f>
        <v>0</v>
      </c>
      <c r="F28" s="15"/>
      <c r="I28" s="4" t="s">
        <v>87</v>
      </c>
    </row>
    <row r="29" spans="1:16" x14ac:dyDescent="0.25">
      <c r="A29" s="73" t="s">
        <v>22</v>
      </c>
      <c r="B29" s="74"/>
      <c r="C29" s="75"/>
      <c r="D29" s="38"/>
      <c r="E29" s="43"/>
      <c r="F29" s="15"/>
    </row>
    <row r="30" spans="1:16" x14ac:dyDescent="0.25">
      <c r="A30" s="73" t="s">
        <v>23</v>
      </c>
      <c r="B30" s="74"/>
      <c r="C30" s="75"/>
      <c r="D30" s="38"/>
      <c r="E30" s="43"/>
      <c r="F30" s="15"/>
    </row>
    <row r="31" spans="1:16" x14ac:dyDescent="0.25">
      <c r="A31" s="7"/>
      <c r="B31" s="8"/>
      <c r="C31" s="8"/>
      <c r="D31" s="8"/>
      <c r="E31" s="14"/>
      <c r="F31" s="15"/>
    </row>
    <row r="32" spans="1:16" x14ac:dyDescent="0.25">
      <c r="A32" s="19" t="s">
        <v>24</v>
      </c>
      <c r="B32" s="8"/>
      <c r="C32" s="8"/>
      <c r="D32" s="8"/>
      <c r="E32" s="14"/>
      <c r="F32" s="23">
        <f>SUM(E34:E35)</f>
        <v>75000</v>
      </c>
      <c r="H32" s="18">
        <f>+F16-E24</f>
        <v>0</v>
      </c>
    </row>
    <row r="33" spans="1:6" x14ac:dyDescent="0.25">
      <c r="A33" s="7"/>
      <c r="B33" s="8"/>
      <c r="C33" s="8"/>
      <c r="D33" s="8" t="s">
        <v>21</v>
      </c>
      <c r="E33" s="14" t="s">
        <v>20</v>
      </c>
      <c r="F33" s="15"/>
    </row>
    <row r="34" spans="1:6" x14ac:dyDescent="0.25">
      <c r="A34" s="7" t="s">
        <v>25</v>
      </c>
      <c r="B34" s="8"/>
      <c r="C34" s="8"/>
      <c r="D34" s="10"/>
      <c r="E34" s="14">
        <f>IF(ISBLANK(D13),0,IF(D13="Old Tax Regime",50000,75000))</f>
        <v>75000</v>
      </c>
      <c r="F34" s="15"/>
    </row>
    <row r="35" spans="1:6" x14ac:dyDescent="0.25">
      <c r="A35" s="7" t="s">
        <v>88</v>
      </c>
      <c r="B35" s="8"/>
      <c r="C35" s="8"/>
      <c r="D35" s="38">
        <v>0</v>
      </c>
      <c r="E35" s="26">
        <f>IF(ISBLANK(D13),0,IF(D13="Old Tax Regime",D35,0))</f>
        <v>0</v>
      </c>
      <c r="F35" s="15"/>
    </row>
    <row r="36" spans="1:6" x14ac:dyDescent="0.25">
      <c r="A36" s="7"/>
      <c r="B36" s="22" t="s">
        <v>26</v>
      </c>
      <c r="C36" s="8"/>
      <c r="D36" s="8"/>
      <c r="E36" s="14"/>
      <c r="F36" s="23">
        <f>MAX(0,F16-F25-F32)</f>
        <v>1115000</v>
      </c>
    </row>
    <row r="37" spans="1:6" x14ac:dyDescent="0.25">
      <c r="A37" s="7"/>
      <c r="B37" s="8"/>
      <c r="C37" s="8"/>
      <c r="D37" s="8"/>
      <c r="E37" s="14"/>
      <c r="F37" s="15"/>
    </row>
    <row r="38" spans="1:6" x14ac:dyDescent="0.25">
      <c r="A38" s="20" t="s">
        <v>27</v>
      </c>
      <c r="B38" s="8"/>
      <c r="C38" s="8"/>
      <c r="D38" s="8"/>
      <c r="E38" s="14"/>
      <c r="F38" s="15"/>
    </row>
    <row r="39" spans="1:6" x14ac:dyDescent="0.25">
      <c r="A39" s="7" t="s">
        <v>98</v>
      </c>
      <c r="B39" s="8"/>
      <c r="C39" s="8"/>
      <c r="D39" s="42" t="s">
        <v>99</v>
      </c>
      <c r="E39" s="14"/>
      <c r="F39" s="15"/>
    </row>
    <row r="40" spans="1:6" x14ac:dyDescent="0.25">
      <c r="A40" s="7" t="s">
        <v>28</v>
      </c>
      <c r="B40" s="8"/>
      <c r="C40" s="8"/>
      <c r="D40" s="44">
        <v>50000</v>
      </c>
      <c r="E40" s="14">
        <f>IF(ISBLANK(D13),0,IF(D39="Self Occupied",0,D40))</f>
        <v>0</v>
      </c>
      <c r="F40" s="15"/>
    </row>
    <row r="41" spans="1:6" x14ac:dyDescent="0.25">
      <c r="A41" s="7" t="s">
        <v>29</v>
      </c>
      <c r="B41" s="8"/>
      <c r="C41" s="8"/>
      <c r="D41" s="8"/>
      <c r="E41" s="53"/>
      <c r="F41" s="15"/>
    </row>
    <row r="42" spans="1:6" x14ac:dyDescent="0.25">
      <c r="A42" s="7"/>
      <c r="B42" s="8" t="s">
        <v>30</v>
      </c>
      <c r="C42" s="8"/>
      <c r="D42" s="8"/>
      <c r="E42" s="14">
        <f>+E40-E41</f>
        <v>0</v>
      </c>
      <c r="F42" s="15"/>
    </row>
    <row r="43" spans="1:6" x14ac:dyDescent="0.25">
      <c r="A43" s="7" t="s">
        <v>31</v>
      </c>
      <c r="B43" s="8"/>
      <c r="C43" s="8"/>
      <c r="D43" s="8"/>
      <c r="E43" s="14"/>
      <c r="F43" s="15"/>
    </row>
    <row r="44" spans="1:6" x14ac:dyDescent="0.25">
      <c r="A44" s="7" t="s">
        <v>32</v>
      </c>
      <c r="B44" s="8"/>
      <c r="C44" s="8"/>
      <c r="D44" s="8"/>
      <c r="E44" s="14">
        <f>ROUND(E42*0.3,0)</f>
        <v>0</v>
      </c>
      <c r="F44" s="15"/>
    </row>
    <row r="45" spans="1:6" x14ac:dyDescent="0.25">
      <c r="A45" s="7" t="s">
        <v>33</v>
      </c>
      <c r="B45" s="8"/>
      <c r="C45" s="8"/>
      <c r="D45" s="44">
        <v>500000</v>
      </c>
      <c r="E45" s="52">
        <f>IF(ISBLANK(D13),0,IF(D13="Old Tax Regime",D45,IF(D39="Let Out",D45,0)))</f>
        <v>0</v>
      </c>
      <c r="F45" s="15"/>
    </row>
    <row r="46" spans="1:6" x14ac:dyDescent="0.25">
      <c r="A46" s="7"/>
      <c r="B46" s="22" t="s">
        <v>38</v>
      </c>
      <c r="C46" s="8"/>
      <c r="D46" s="8"/>
      <c r="E46" s="14"/>
      <c r="F46" s="23">
        <f>MAX(-200000,E42-SUM(E44:E45))</f>
        <v>0</v>
      </c>
    </row>
    <row r="47" spans="1:6" x14ac:dyDescent="0.25">
      <c r="A47" s="6"/>
      <c r="B47" s="6"/>
      <c r="C47" s="6"/>
      <c r="D47" s="6"/>
      <c r="E47" s="12"/>
      <c r="F47" s="12"/>
    </row>
    <row r="48" spans="1:6" x14ac:dyDescent="0.25">
      <c r="A48" s="8"/>
      <c r="B48" s="8"/>
      <c r="C48" s="8"/>
      <c r="D48" s="8"/>
      <c r="E48" s="14"/>
      <c r="F48" s="14"/>
    </row>
    <row r="49" spans="1:6" x14ac:dyDescent="0.25">
      <c r="A49" s="8"/>
      <c r="B49" s="8"/>
      <c r="C49" s="8"/>
      <c r="D49" s="8"/>
      <c r="E49" s="14"/>
      <c r="F49" s="14"/>
    </row>
    <row r="50" spans="1:6" x14ac:dyDescent="0.25">
      <c r="A50" s="10"/>
      <c r="B50" s="10"/>
      <c r="C50" s="10"/>
      <c r="D50" s="10"/>
      <c r="E50" s="16"/>
      <c r="F50" s="16"/>
    </row>
    <row r="51" spans="1:6" x14ac:dyDescent="0.25">
      <c r="A51" s="20" t="s">
        <v>34</v>
      </c>
      <c r="B51" s="8"/>
      <c r="C51" s="8"/>
      <c r="D51" s="8"/>
      <c r="E51" s="14"/>
      <c r="F51" s="15"/>
    </row>
    <row r="52" spans="1:6" x14ac:dyDescent="0.25">
      <c r="A52" s="7"/>
      <c r="B52" s="8"/>
      <c r="C52" s="8"/>
      <c r="D52" s="8"/>
      <c r="E52" s="14"/>
      <c r="F52" s="15"/>
    </row>
    <row r="53" spans="1:6" x14ac:dyDescent="0.25">
      <c r="A53" s="7" t="s">
        <v>35</v>
      </c>
      <c r="B53" s="8"/>
      <c r="C53" s="8"/>
      <c r="D53" s="8"/>
      <c r="E53" s="44">
        <v>2000</v>
      </c>
      <c r="F53" s="15"/>
    </row>
    <row r="54" spans="1:6" x14ac:dyDescent="0.25">
      <c r="A54" s="7" t="s">
        <v>36</v>
      </c>
      <c r="B54" s="8"/>
      <c r="C54" s="8"/>
      <c r="D54" s="8"/>
      <c r="E54" s="44"/>
      <c r="F54" s="15"/>
    </row>
    <row r="55" spans="1:6" x14ac:dyDescent="0.25">
      <c r="A55" s="7" t="s">
        <v>37</v>
      </c>
      <c r="B55" s="8"/>
      <c r="C55" s="8"/>
      <c r="D55" s="8"/>
      <c r="E55" s="44"/>
      <c r="F55" s="15"/>
    </row>
    <row r="56" spans="1:6" x14ac:dyDescent="0.25">
      <c r="A56" s="41" t="s">
        <v>40</v>
      </c>
      <c r="B56" s="42"/>
      <c r="C56" s="42"/>
      <c r="D56" s="8"/>
      <c r="E56" s="44"/>
      <c r="F56" s="15"/>
    </row>
    <row r="57" spans="1:6" x14ac:dyDescent="0.25">
      <c r="A57" s="41" t="s">
        <v>41</v>
      </c>
      <c r="B57" s="42"/>
      <c r="C57" s="42"/>
      <c r="D57" s="8"/>
      <c r="E57" s="44"/>
      <c r="F57" s="15"/>
    </row>
    <row r="58" spans="1:6" x14ac:dyDescent="0.25">
      <c r="A58" s="7"/>
      <c r="B58" s="22" t="s">
        <v>39</v>
      </c>
      <c r="C58" s="8"/>
      <c r="D58" s="8"/>
      <c r="E58" s="14"/>
      <c r="F58" s="23">
        <f>SUM(E53:E57)</f>
        <v>2000</v>
      </c>
    </row>
    <row r="59" spans="1:6" ht="15.75" thickBot="1" x14ac:dyDescent="0.3">
      <c r="A59" s="7"/>
      <c r="B59" s="8"/>
      <c r="C59" s="22" t="s">
        <v>42</v>
      </c>
      <c r="D59" s="8"/>
      <c r="E59" s="14"/>
      <c r="F59" s="27">
        <f>SUM(F36,F46,F58)</f>
        <v>1117000</v>
      </c>
    </row>
    <row r="60" spans="1:6" ht="15.75" thickTop="1" x14ac:dyDescent="0.25">
      <c r="A60" s="7"/>
      <c r="B60" s="8"/>
      <c r="C60" s="8"/>
      <c r="D60" s="8"/>
      <c r="E60" s="14"/>
      <c r="F60" s="15"/>
    </row>
    <row r="61" spans="1:6" x14ac:dyDescent="0.25">
      <c r="A61" s="7" t="s">
        <v>43</v>
      </c>
      <c r="B61" s="8"/>
      <c r="C61" s="8"/>
      <c r="D61" s="8"/>
      <c r="E61" s="14"/>
      <c r="F61" s="15"/>
    </row>
    <row r="62" spans="1:6" x14ac:dyDescent="0.25">
      <c r="A62" s="7"/>
      <c r="B62" s="8"/>
      <c r="C62" s="8"/>
      <c r="D62" s="8" t="s">
        <v>21</v>
      </c>
      <c r="E62" s="14" t="s">
        <v>20</v>
      </c>
      <c r="F62" s="15"/>
    </row>
    <row r="63" spans="1:6" x14ac:dyDescent="0.25">
      <c r="A63" s="20" t="s">
        <v>44</v>
      </c>
      <c r="B63" s="8"/>
      <c r="C63" s="8"/>
      <c r="D63" s="45">
        <v>0</v>
      </c>
      <c r="E63" s="26"/>
      <c r="F63" s="15"/>
    </row>
    <row r="64" spans="1:6" x14ac:dyDescent="0.25">
      <c r="A64" s="7" t="s">
        <v>47</v>
      </c>
      <c r="B64" s="8"/>
      <c r="C64" s="8"/>
      <c r="D64" s="45">
        <v>0</v>
      </c>
      <c r="E64" s="26"/>
      <c r="F64" s="15"/>
    </row>
    <row r="65" spans="1:6" x14ac:dyDescent="0.25">
      <c r="A65" s="7" t="s">
        <v>45</v>
      </c>
      <c r="B65" s="8"/>
      <c r="C65" s="8"/>
      <c r="D65" s="45">
        <v>0</v>
      </c>
      <c r="E65" s="26"/>
      <c r="F65" s="15"/>
    </row>
    <row r="66" spans="1:6" x14ac:dyDescent="0.25">
      <c r="A66" s="7" t="s">
        <v>46</v>
      </c>
      <c r="B66" s="8"/>
      <c r="C66" s="8"/>
      <c r="D66" s="45">
        <v>0</v>
      </c>
      <c r="E66" s="26"/>
      <c r="F66" s="15"/>
    </row>
    <row r="67" spans="1:6" x14ac:dyDescent="0.25">
      <c r="A67" s="7" t="s">
        <v>48</v>
      </c>
      <c r="B67" s="8"/>
      <c r="C67" s="8"/>
      <c r="D67" s="45">
        <v>0</v>
      </c>
      <c r="E67" s="14">
        <f>IF(ISBLANK(D13),0,IF(D13="Old Tax Regime",MIN(SUM(D63:D67),150000),0))</f>
        <v>0</v>
      </c>
      <c r="F67" s="15"/>
    </row>
    <row r="68" spans="1:6" x14ac:dyDescent="0.25">
      <c r="A68" s="7"/>
      <c r="B68" s="8"/>
      <c r="C68" s="8"/>
      <c r="D68" s="8"/>
      <c r="E68" s="14"/>
      <c r="F68" s="15"/>
    </row>
    <row r="69" spans="1:6" x14ac:dyDescent="0.25">
      <c r="A69" s="20" t="s">
        <v>101</v>
      </c>
      <c r="B69" s="8"/>
      <c r="C69" s="8"/>
      <c r="D69" s="45">
        <v>0</v>
      </c>
      <c r="E69" s="14">
        <f>IF(ISBLANK(D13),0,IF(D13="Old Tax Regime",MIN(D69,50000),0))</f>
        <v>0</v>
      </c>
      <c r="F69" s="15"/>
    </row>
    <row r="70" spans="1:6" x14ac:dyDescent="0.25">
      <c r="A70" s="20" t="s">
        <v>100</v>
      </c>
      <c r="B70" s="8"/>
      <c r="C70" s="8"/>
      <c r="D70" s="45">
        <v>500</v>
      </c>
      <c r="E70" s="14">
        <f>D70</f>
        <v>500</v>
      </c>
      <c r="F70" s="15"/>
    </row>
    <row r="71" spans="1:6" x14ac:dyDescent="0.25">
      <c r="A71" s="7"/>
      <c r="B71" s="8"/>
      <c r="C71" s="8"/>
      <c r="D71" s="8"/>
      <c r="E71" s="14"/>
      <c r="F71" s="15"/>
    </row>
    <row r="72" spans="1:6" x14ac:dyDescent="0.25">
      <c r="A72" s="7" t="s">
        <v>96</v>
      </c>
      <c r="B72" s="8"/>
      <c r="C72" s="8"/>
      <c r="D72" s="8"/>
      <c r="E72" s="14" t="str">
        <f>IF(D11&gt;59,"Yes","No")</f>
        <v>No</v>
      </c>
      <c r="F72" s="15"/>
    </row>
    <row r="73" spans="1:6" x14ac:dyDescent="0.25">
      <c r="A73" s="20" t="s">
        <v>53</v>
      </c>
      <c r="B73" s="51"/>
      <c r="C73" s="51" t="s">
        <v>97</v>
      </c>
      <c r="D73" s="8"/>
      <c r="E73" s="14"/>
      <c r="F73" s="15"/>
    </row>
    <row r="74" spans="1:6" x14ac:dyDescent="0.25">
      <c r="A74" s="7" t="s">
        <v>49</v>
      </c>
      <c r="B74" s="8"/>
      <c r="C74" s="8"/>
      <c r="D74" s="45">
        <v>0</v>
      </c>
      <c r="E74" s="26">
        <f>IF(E72="No",IF(ISBLANK(D13),0,IF(D13="Old Tax Regime",MIN(D74,25000),0)),0)</f>
        <v>0</v>
      </c>
      <c r="F74" s="15"/>
    </row>
    <row r="75" spans="1:6" x14ac:dyDescent="0.25">
      <c r="A75" s="7" t="s">
        <v>51</v>
      </c>
      <c r="B75" s="8"/>
      <c r="C75" s="8"/>
      <c r="D75" s="45">
        <v>0</v>
      </c>
      <c r="E75" s="26">
        <f>IF(E72="Yes",IF(ISBLANK(D13),0,IF(D13="Old Tax Regime",MIN(D75,50000),0)),0)</f>
        <v>0</v>
      </c>
      <c r="F75" s="15"/>
    </row>
    <row r="76" spans="1:6" x14ac:dyDescent="0.25">
      <c r="A76" s="7" t="s">
        <v>50</v>
      </c>
      <c r="B76" s="8"/>
      <c r="C76" s="8"/>
      <c r="D76" s="45">
        <v>0</v>
      </c>
      <c r="E76" s="26">
        <f>IF(ISBLANK(D13),0,IF(D13="Old Tax Regime",MIN(D76,50000),0))</f>
        <v>0</v>
      </c>
      <c r="F76" s="15"/>
    </row>
    <row r="77" spans="1:6" x14ac:dyDescent="0.25">
      <c r="A77" s="7" t="s">
        <v>52</v>
      </c>
      <c r="B77" s="8"/>
      <c r="C77" s="8"/>
      <c r="D77" s="8"/>
      <c r="E77" s="14">
        <f>MIN(75000,SUM(E74:E76))</f>
        <v>0</v>
      </c>
      <c r="F77" s="15"/>
    </row>
    <row r="78" spans="1:6" x14ac:dyDescent="0.25">
      <c r="A78" s="7"/>
      <c r="B78" s="8"/>
      <c r="C78" s="8"/>
      <c r="D78" s="8"/>
      <c r="E78" s="14"/>
      <c r="F78" s="15"/>
    </row>
    <row r="79" spans="1:6" x14ac:dyDescent="0.25">
      <c r="A79" s="20" t="s">
        <v>54</v>
      </c>
      <c r="B79" s="8"/>
      <c r="C79" s="8"/>
      <c r="D79" s="50">
        <f>IF(E72="No",E53,0)</f>
        <v>2000</v>
      </c>
      <c r="E79" s="26">
        <f>IF(ISBLANK(D13),0,IF(D13="Old Tax Regime",MIN(D79,10000),0))</f>
        <v>0</v>
      </c>
      <c r="F79" s="15"/>
    </row>
    <row r="80" spans="1:6" x14ac:dyDescent="0.25">
      <c r="A80" s="20" t="s">
        <v>55</v>
      </c>
      <c r="B80" s="8"/>
      <c r="C80" s="8"/>
      <c r="D80" s="50">
        <f>IF(E72="No",0,E53+E54)</f>
        <v>0</v>
      </c>
      <c r="E80" s="26">
        <f>IF(ISBLANK(D13),0,IF(D13="Old Tax Regime",IF(E72="No", 0, MIN(D80,50000)),0))</f>
        <v>0</v>
      </c>
      <c r="F80" s="15"/>
    </row>
    <row r="81" spans="1:6" x14ac:dyDescent="0.25">
      <c r="A81" s="7"/>
      <c r="B81" s="8"/>
      <c r="C81" s="8"/>
      <c r="D81" s="8"/>
      <c r="E81" s="14"/>
      <c r="F81" s="15"/>
    </row>
    <row r="82" spans="1:6" x14ac:dyDescent="0.25">
      <c r="A82" s="7" t="s">
        <v>56</v>
      </c>
      <c r="B82" s="8"/>
      <c r="C82" s="8"/>
      <c r="D82" s="38">
        <v>0</v>
      </c>
      <c r="E82" s="14">
        <f>IF(ISBLANK(D13),0,IF(D13="Old Tax Regime",D82,0))</f>
        <v>0</v>
      </c>
      <c r="F82" s="23">
        <f>SUM(E63:E82)</f>
        <v>500</v>
      </c>
    </row>
    <row r="83" spans="1:6" ht="15.75" thickBot="1" x14ac:dyDescent="0.3">
      <c r="A83" s="7"/>
      <c r="B83" s="8"/>
      <c r="C83" s="22" t="s">
        <v>57</v>
      </c>
      <c r="D83" s="8"/>
      <c r="E83" s="14"/>
      <c r="F83" s="27">
        <f>+F59-F82</f>
        <v>1116500</v>
      </c>
    </row>
    <row r="84" spans="1:6" ht="15.75" thickTop="1" x14ac:dyDescent="0.25">
      <c r="A84" s="7"/>
      <c r="B84" s="8"/>
      <c r="C84" s="8"/>
      <c r="D84" s="8"/>
      <c r="E84" s="14"/>
      <c r="F84" s="15"/>
    </row>
    <row r="85" spans="1:6" x14ac:dyDescent="0.25">
      <c r="A85" s="20" t="s">
        <v>58</v>
      </c>
      <c r="B85" s="8"/>
      <c r="C85" s="8"/>
      <c r="D85" s="8"/>
      <c r="E85" s="14"/>
      <c r="F85" s="15"/>
    </row>
    <row r="86" spans="1:6" x14ac:dyDescent="0.25">
      <c r="A86" s="7"/>
      <c r="B86" s="8"/>
      <c r="C86" s="8"/>
      <c r="D86" s="8"/>
      <c r="E86" s="14"/>
      <c r="F86" s="15"/>
    </row>
    <row r="87" spans="1:6" x14ac:dyDescent="0.25">
      <c r="A87" s="7" t="s">
        <v>59</v>
      </c>
      <c r="B87" s="8"/>
      <c r="C87" s="8"/>
      <c r="D87" s="8"/>
      <c r="E87" s="14"/>
      <c r="F87" s="23">
        <f>IF(ISBLANK(D13),0,IF(D13="Old Tax Regime",E109,E121))</f>
        <v>67475</v>
      </c>
    </row>
    <row r="88" spans="1:6" x14ac:dyDescent="0.25">
      <c r="A88" s="7" t="s">
        <v>78</v>
      </c>
      <c r="B88" s="8"/>
      <c r="C88" s="8"/>
      <c r="D88" s="29" t="s">
        <v>79</v>
      </c>
      <c r="E88" s="14">
        <f>IF(ISBLANK(D13),0,IF(D13="Old Tax Regime",500000,700000))</f>
        <v>700000</v>
      </c>
      <c r="F88" s="30">
        <f>IF(ISBLANK(D13),0,IF(D13="Old Tax Regime",IF(F83&lt;=E88,MIN(12500,F87),0),IF(F83&lt;E88,MIN(25000,F87),0)))</f>
        <v>0</v>
      </c>
    </row>
    <row r="89" spans="1:6" x14ac:dyDescent="0.25">
      <c r="A89" s="7"/>
      <c r="B89" s="8"/>
      <c r="C89" s="8"/>
      <c r="D89" s="8"/>
      <c r="E89" s="14"/>
      <c r="F89" s="23">
        <f>+F87-F88</f>
        <v>67475</v>
      </c>
    </row>
    <row r="90" spans="1:6" x14ac:dyDescent="0.25">
      <c r="A90" s="7" t="s">
        <v>60</v>
      </c>
      <c r="B90" s="8"/>
      <c r="C90" s="8"/>
      <c r="D90" s="8"/>
      <c r="E90" s="14"/>
      <c r="F90" s="30">
        <f>IF(F83&gt;5000000,ROUND(F89*0.1,0),0)</f>
        <v>0</v>
      </c>
    </row>
    <row r="91" spans="1:6" x14ac:dyDescent="0.25">
      <c r="A91" s="7"/>
      <c r="B91" s="8"/>
      <c r="C91" s="8"/>
      <c r="D91" s="8"/>
      <c r="E91" s="14"/>
      <c r="F91" s="23">
        <f>SUM(F89:F90)</f>
        <v>67475</v>
      </c>
    </row>
    <row r="92" spans="1:6" x14ac:dyDescent="0.25">
      <c r="A92" s="7" t="s">
        <v>62</v>
      </c>
      <c r="B92" s="8"/>
      <c r="C92" s="8"/>
      <c r="D92" s="8"/>
      <c r="E92" s="14"/>
      <c r="F92" s="30">
        <f>ROUND(F91*0.04,0)</f>
        <v>2699</v>
      </c>
    </row>
    <row r="93" spans="1:6" x14ac:dyDescent="0.25">
      <c r="A93" s="7"/>
      <c r="B93" s="8"/>
      <c r="C93" s="22" t="s">
        <v>61</v>
      </c>
      <c r="D93" s="8"/>
      <c r="E93" s="14"/>
      <c r="F93" s="23">
        <f>SUM(F91:F92)</f>
        <v>70174</v>
      </c>
    </row>
    <row r="94" spans="1:6" x14ac:dyDescent="0.25">
      <c r="A94" s="7" t="s">
        <v>63</v>
      </c>
      <c r="B94" s="8"/>
      <c r="C94" s="22"/>
      <c r="D94" s="8"/>
      <c r="E94" s="14"/>
      <c r="F94" s="39">
        <v>0</v>
      </c>
    </row>
    <row r="95" spans="1:6" x14ac:dyDescent="0.25">
      <c r="A95" s="7"/>
      <c r="B95" s="8"/>
      <c r="C95" s="22" t="str">
        <f>IF(F93&gt;F94,"Net Tax Payable","Net Tax Refundable")</f>
        <v>Net Tax Payable</v>
      </c>
      <c r="D95" s="8"/>
      <c r="E95" s="14"/>
      <c r="F95" s="47">
        <f>+F93-F94</f>
        <v>70174</v>
      </c>
    </row>
    <row r="96" spans="1:6" ht="15.75" thickBot="1" x14ac:dyDescent="0.3">
      <c r="A96" s="7"/>
      <c r="B96" s="8"/>
      <c r="C96" s="22" t="s">
        <v>91</v>
      </c>
      <c r="D96" s="22"/>
      <c r="E96" s="48"/>
      <c r="F96" s="49">
        <f>ROUND(F95,-1)</f>
        <v>70170</v>
      </c>
    </row>
    <row r="97" spans="1:7" ht="15.75" thickTop="1" x14ac:dyDescent="0.25">
      <c r="A97" s="7"/>
      <c r="B97" s="8"/>
      <c r="C97" s="8"/>
      <c r="D97" s="8"/>
      <c r="E97" s="14"/>
      <c r="F97" s="15"/>
    </row>
    <row r="98" spans="1:7" x14ac:dyDescent="0.25">
      <c r="A98" s="9"/>
      <c r="B98" s="10"/>
      <c r="C98" s="10"/>
      <c r="D98" s="10"/>
      <c r="E98" s="16"/>
      <c r="F98" s="17"/>
    </row>
    <row r="101" spans="1:7" hidden="1" x14ac:dyDescent="0.25"/>
    <row r="102" spans="1:7" hidden="1" x14ac:dyDescent="0.25">
      <c r="A102" s="28"/>
      <c r="B102" s="28"/>
      <c r="C102" s="28"/>
      <c r="D102" s="28"/>
      <c r="E102" s="28"/>
      <c r="F102" s="28"/>
      <c r="G102" s="28"/>
    </row>
    <row r="103" spans="1:7" hidden="1" x14ac:dyDescent="0.25">
      <c r="A103" s="31" t="s">
        <v>64</v>
      </c>
      <c r="B103" s="31"/>
      <c r="C103" s="31"/>
      <c r="D103" s="31" t="s">
        <v>65</v>
      </c>
      <c r="E103" s="31"/>
      <c r="F103" s="31" t="s">
        <v>4</v>
      </c>
      <c r="G103" s="28">
        <f>DATEDIF(D10,D12,"y")</f>
        <v>35</v>
      </c>
    </row>
    <row r="104" spans="1:7" hidden="1" x14ac:dyDescent="0.25">
      <c r="A104" s="28"/>
      <c r="B104" s="28"/>
      <c r="C104" s="28"/>
      <c r="D104" s="28"/>
      <c r="E104" s="28"/>
      <c r="F104" s="31" t="s">
        <v>67</v>
      </c>
      <c r="G104" s="32">
        <f>F83</f>
        <v>1116500</v>
      </c>
    </row>
    <row r="105" spans="1:7" hidden="1" x14ac:dyDescent="0.25">
      <c r="A105" s="28" t="str">
        <f>IF(G103&gt;60,"0-3L","0-2.5L")</f>
        <v>0-2.5L</v>
      </c>
      <c r="B105" s="33">
        <f>IF(G103&lt;60,IF(G104&gt;250000,250000,(MAX(G104,0))),IF(G104&gt;300000,300000,(MAX(G104,0))))</f>
        <v>250000</v>
      </c>
      <c r="C105" s="34">
        <v>0</v>
      </c>
      <c r="D105" s="28"/>
      <c r="E105" s="35">
        <f>ROUND(B105*C105,0)</f>
        <v>0</v>
      </c>
      <c r="F105" s="28"/>
      <c r="G105" s="28"/>
    </row>
    <row r="106" spans="1:7" hidden="1" x14ac:dyDescent="0.25">
      <c r="A106" s="28" t="str">
        <f>IF(G103&gt;60,"3L-5L","2.5L-5L")</f>
        <v>2.5L-5L</v>
      </c>
      <c r="B106" s="33">
        <f>IF(G103&lt;60,IF(G104&gt;500000,250000,(MAX(G104-B105,0))),IF(G104&gt;500000,200000,(MAX(G104-B105,0))))</f>
        <v>250000</v>
      </c>
      <c r="C106" s="34">
        <v>0.05</v>
      </c>
      <c r="D106" s="28"/>
      <c r="E106" s="35">
        <f>ROUND(B106*C106,0)</f>
        <v>12500</v>
      </c>
      <c r="F106" s="28"/>
      <c r="G106" s="28"/>
    </row>
    <row r="107" spans="1:7" hidden="1" x14ac:dyDescent="0.25">
      <c r="A107" s="28" t="s">
        <v>68</v>
      </c>
      <c r="B107" s="33">
        <f>IF(G104&gt;1000000,500000,(MAX(G104-B105-B106,0)))</f>
        <v>500000</v>
      </c>
      <c r="C107" s="34">
        <v>0.2</v>
      </c>
      <c r="D107" s="28"/>
      <c r="E107" s="35">
        <f>ROUND(B107*C107,0)</f>
        <v>100000</v>
      </c>
      <c r="F107" s="28"/>
      <c r="G107" s="28"/>
    </row>
    <row r="108" spans="1:7" hidden="1" x14ac:dyDescent="0.25">
      <c r="A108" s="28" t="s">
        <v>69</v>
      </c>
      <c r="B108" s="33">
        <f>IF(G104&gt;1000000,G104-SUM(B105:B107),0)</f>
        <v>116500</v>
      </c>
      <c r="C108" s="34">
        <v>0.3</v>
      </c>
      <c r="D108" s="28"/>
      <c r="E108" s="35">
        <f>ROUND(B108*C108,0)</f>
        <v>34950</v>
      </c>
      <c r="F108" s="28"/>
      <c r="G108" s="28"/>
    </row>
    <row r="109" spans="1:7" ht="15.75" hidden="1" thickBot="1" x14ac:dyDescent="0.3">
      <c r="A109" s="28"/>
      <c r="B109" s="28"/>
      <c r="C109" s="28"/>
      <c r="D109" s="28"/>
      <c r="E109" s="36">
        <f>SUM(E105:E108)</f>
        <v>147450</v>
      </c>
      <c r="F109" s="28"/>
      <c r="G109" s="28"/>
    </row>
    <row r="110" spans="1:7" ht="15.75" hidden="1" thickTop="1" x14ac:dyDescent="0.25">
      <c r="A110" s="28"/>
      <c r="B110" s="28"/>
      <c r="C110" s="28"/>
      <c r="D110" s="28"/>
      <c r="E110" s="28"/>
      <c r="F110" s="28"/>
      <c r="G110" s="28"/>
    </row>
    <row r="111" spans="1:7" hidden="1" x14ac:dyDescent="0.25">
      <c r="A111" s="28"/>
      <c r="B111" s="28"/>
      <c r="C111" s="28"/>
      <c r="D111" s="28"/>
      <c r="E111" s="28"/>
      <c r="F111" s="28"/>
      <c r="G111" s="28"/>
    </row>
    <row r="112" spans="1:7" hidden="1" x14ac:dyDescent="0.25">
      <c r="A112" s="28"/>
      <c r="B112" s="28"/>
      <c r="C112" s="28"/>
      <c r="D112" s="28"/>
      <c r="E112" s="28"/>
      <c r="F112" s="28"/>
      <c r="G112" s="28"/>
    </row>
    <row r="113" spans="1:7" hidden="1" x14ac:dyDescent="0.25">
      <c r="A113" s="31" t="s">
        <v>64</v>
      </c>
      <c r="B113" s="31"/>
      <c r="C113" s="31"/>
      <c r="D113" s="31" t="s">
        <v>80</v>
      </c>
      <c r="E113" s="31"/>
      <c r="F113" s="31" t="s">
        <v>4</v>
      </c>
      <c r="G113" s="28">
        <f>DATEDIF(D10,D12,"y")</f>
        <v>35</v>
      </c>
    </row>
    <row r="114" spans="1:7" hidden="1" x14ac:dyDescent="0.25">
      <c r="A114" s="28"/>
      <c r="B114" s="28"/>
      <c r="C114" s="28"/>
      <c r="D114" s="28"/>
      <c r="E114" s="28"/>
      <c r="F114" s="31" t="s">
        <v>67</v>
      </c>
      <c r="G114" s="32">
        <f>F83</f>
        <v>1116500</v>
      </c>
    </row>
    <row r="115" spans="1:7" hidden="1" x14ac:dyDescent="0.25">
      <c r="A115" s="28" t="s">
        <v>81</v>
      </c>
      <c r="B115" s="33">
        <f>IF(G114&gt;300000,300000,(MAX(G114,0)))</f>
        <v>300000</v>
      </c>
      <c r="C115" s="34">
        <v>0</v>
      </c>
      <c r="D115" s="28"/>
      <c r="E115" s="35">
        <f>ROUND(B115*C115,0)</f>
        <v>0</v>
      </c>
      <c r="F115" s="28"/>
      <c r="G115" s="28"/>
    </row>
    <row r="116" spans="1:7" hidden="1" x14ac:dyDescent="0.25">
      <c r="A116" s="28" t="s">
        <v>82</v>
      </c>
      <c r="B116" s="33">
        <f>IF(G114&gt;700000,400000,(MAX(G114-B115,0)))</f>
        <v>400000</v>
      </c>
      <c r="C116" s="34">
        <v>0.05</v>
      </c>
      <c r="D116" s="28"/>
      <c r="E116" s="35">
        <f>ROUND(B116*C116,0)</f>
        <v>20000</v>
      </c>
      <c r="F116" s="28"/>
      <c r="G116" s="37"/>
    </row>
    <row r="117" spans="1:7" hidden="1" x14ac:dyDescent="0.25">
      <c r="A117" s="28" t="s">
        <v>83</v>
      </c>
      <c r="B117" s="33">
        <f>IF(G114&gt;1000000,300000,(MAX(G114-B115-B116,0)))</f>
        <v>300000</v>
      </c>
      <c r="C117" s="34">
        <v>0.1</v>
      </c>
      <c r="D117" s="28"/>
      <c r="E117" s="35">
        <f>ROUND(B117*C117,0)</f>
        <v>30000</v>
      </c>
      <c r="F117" s="28"/>
      <c r="G117" s="28"/>
    </row>
    <row r="118" spans="1:7" hidden="1" x14ac:dyDescent="0.25">
      <c r="A118" s="28" t="s">
        <v>84</v>
      </c>
      <c r="B118" s="33">
        <f>IF(G114&gt;1200000,200000,(MAX(G114-B115-B116-B117,0)))</f>
        <v>116500</v>
      </c>
      <c r="C118" s="34">
        <v>0.15</v>
      </c>
      <c r="D118" s="28"/>
      <c r="E118" s="35">
        <f t="shared" ref="E118:E119" si="1">ROUND(B118*C118,0)</f>
        <v>17475</v>
      </c>
      <c r="F118" s="28"/>
      <c r="G118" s="28"/>
    </row>
    <row r="119" spans="1:7" hidden="1" x14ac:dyDescent="0.25">
      <c r="A119" s="28" t="s">
        <v>85</v>
      </c>
      <c r="B119" s="33">
        <f>IF(G114&gt;1500000,300000,(MAX(G114-B115-B116-B117-B118,0)))</f>
        <v>0</v>
      </c>
      <c r="C119" s="34">
        <v>0.2</v>
      </c>
      <c r="D119" s="28"/>
      <c r="E119" s="35">
        <f t="shared" si="1"/>
        <v>0</v>
      </c>
      <c r="F119" s="28"/>
      <c r="G119" s="28"/>
    </row>
    <row r="120" spans="1:7" hidden="1" x14ac:dyDescent="0.25">
      <c r="A120" s="28" t="s">
        <v>86</v>
      </c>
      <c r="B120" s="33">
        <f>IF(G114&gt;1500000,G114-SUM(B115:B119),0)</f>
        <v>0</v>
      </c>
      <c r="C120" s="34">
        <v>0.3</v>
      </c>
      <c r="D120" s="28"/>
      <c r="E120" s="35">
        <f>ROUND(B120*C120,0)</f>
        <v>0</v>
      </c>
      <c r="F120" s="28"/>
      <c r="G120" s="28"/>
    </row>
    <row r="121" spans="1:7" ht="15.75" hidden="1" thickBot="1" x14ac:dyDescent="0.3">
      <c r="A121" s="28"/>
      <c r="B121" s="28"/>
      <c r="C121" s="28"/>
      <c r="D121" s="28"/>
      <c r="E121" s="36">
        <f>SUM(E115:E120)</f>
        <v>67475</v>
      </c>
      <c r="F121" s="28"/>
      <c r="G121" s="28"/>
    </row>
    <row r="122" spans="1:7" ht="15.75" hidden="1" thickTop="1" x14ac:dyDescent="0.25">
      <c r="A122" s="28"/>
      <c r="B122" s="28"/>
      <c r="C122" s="28"/>
      <c r="D122" s="28"/>
      <c r="E122" s="28"/>
      <c r="F122" s="28"/>
      <c r="G122" s="28"/>
    </row>
    <row r="123" spans="1:7" hidden="1" x14ac:dyDescent="0.25"/>
  </sheetData>
  <sheetProtection algorithmName="SHA-512" hashValue="mYWtpv5cRDpbe3wy8uhVUmWOG3V53odxM1I3imuPOa7aTnleaQ+xDmY4Ao94Rn3tGtVUrlIPW50UCnMubqOD7Q==" saltValue="Qh83FaQTGNkFH9RdUBMw1g==" spinCount="100000" sheet="1" objects="1" scenarios="1" selectLockedCells="1"/>
  <mergeCells count="27">
    <mergeCell ref="J24:P24"/>
    <mergeCell ref="A26:C26"/>
    <mergeCell ref="A27:C27"/>
    <mergeCell ref="A28:C28"/>
    <mergeCell ref="A29:C29"/>
    <mergeCell ref="A30:C30"/>
    <mergeCell ref="A23:C23"/>
    <mergeCell ref="A17:C17"/>
    <mergeCell ref="A18:C18"/>
    <mergeCell ref="A19:C19"/>
    <mergeCell ref="A20:C20"/>
    <mergeCell ref="A21:C21"/>
    <mergeCell ref="A22:C22"/>
    <mergeCell ref="A11:C11"/>
    <mergeCell ref="D11:F11"/>
    <mergeCell ref="A13:C13"/>
    <mergeCell ref="D13:F13"/>
    <mergeCell ref="A1:F6"/>
    <mergeCell ref="A7:F7"/>
    <mergeCell ref="A8:C8"/>
    <mergeCell ref="A9:C9"/>
    <mergeCell ref="A10:C10"/>
    <mergeCell ref="D8:F8"/>
    <mergeCell ref="D9:F9"/>
    <mergeCell ref="D10:F10"/>
    <mergeCell ref="A12:C12"/>
    <mergeCell ref="D12:F12"/>
  </mergeCells>
  <dataValidations count="3">
    <dataValidation type="list" allowBlank="1" showInputMessage="1" showErrorMessage="1" sqref="D13:F13" xr:uid="{4FF2F335-2CF9-4170-81C5-B8207BB109A4}">
      <formula1>"Default Regime (New Tax Regime), Old Tax Regime"</formula1>
    </dataValidation>
    <dataValidation type="list" allowBlank="1" showInputMessage="1" showErrorMessage="1" sqref="E72" xr:uid="{E2FE0FD4-AF0D-485E-9D76-E56739F9A268}">
      <formula1>"Yes, No"</formula1>
    </dataValidation>
    <dataValidation type="list" allowBlank="1" showInputMessage="1" showErrorMessage="1" sqref="D39" xr:uid="{4970EFCF-E82E-4A90-8A92-E048A1E9B204}">
      <formula1>"Let Out, Self Occupied"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Rubanofficr</dc:creator>
  <cp:lastModifiedBy>Rubanofficr</cp:lastModifiedBy>
  <cp:lastPrinted>2025-04-08T19:20:41Z</cp:lastPrinted>
  <dcterms:created xsi:type="dcterms:W3CDTF">2025-04-08T17:42:25Z</dcterms:created>
  <dcterms:modified xsi:type="dcterms:W3CDTF">2025-04-30T10:01:28Z</dcterms:modified>
</cp:coreProperties>
</file>